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8400" activeTab="0"/>
  </bookViews>
  <sheets>
    <sheet name="Chi-Sq Test" sheetId="1" r:id="rId1"/>
    <sheet name="% points" sheetId="2" r:id="rId2"/>
    <sheet name="Chi-Sq pdf" sheetId="3" r:id="rId3"/>
    <sheet name="User's Notes" sheetId="4" r:id="rId4"/>
  </sheets>
  <definedNames/>
  <calcPr fullCalcOnLoad="1"/>
</workbook>
</file>

<file path=xl/sharedStrings.xml><?xml version="1.0" encoding="utf-8"?>
<sst xmlns="http://schemas.openxmlformats.org/spreadsheetml/2006/main" count="62" uniqueCount="52">
  <si>
    <r>
      <t>Contributions to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</si>
  <si>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</si>
  <si>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t>Chi-Square Goodness of fit for a Contingency Table</t>
  </si>
  <si>
    <t>Totals</t>
  </si>
  <si>
    <t>Critical value</t>
  </si>
  <si>
    <r>
      <t>Degrees of freedom</t>
    </r>
    <r>
      <rPr>
        <sz val="12"/>
        <rFont val="Arial"/>
        <family val="2"/>
      </rPr>
      <t xml:space="preserve"> =</t>
    </r>
  </si>
  <si>
    <r>
      <t>Significance level</t>
    </r>
    <r>
      <rPr>
        <sz val="12"/>
        <rFont val="Arial"/>
        <family val="2"/>
      </rPr>
      <t xml:space="preserve"> =</t>
    </r>
  </si>
  <si>
    <t>then result is</t>
  </si>
  <si>
    <r>
      <t>Conclusion</t>
    </r>
    <r>
      <rPr>
        <sz val="12"/>
        <rFont val="Arial"/>
        <family val="2"/>
      </rPr>
      <t xml:space="preserve">:  Since </t>
    </r>
  </si>
  <si>
    <r>
      <t>H</t>
    </r>
    <r>
      <rPr>
        <vertAlign val="subscript"/>
        <sz val="12"/>
        <rFont val="Arial"/>
        <family val="2"/>
      </rPr>
      <t>0</t>
    </r>
  </si>
  <si>
    <t>Observed frequencies:</t>
  </si>
  <si>
    <t>Expected frequencies:</t>
  </si>
  <si>
    <t>Degrees</t>
  </si>
  <si>
    <t>of</t>
  </si>
  <si>
    <t>freedom</t>
  </si>
  <si>
    <t>n</t>
  </si>
  <si>
    <r>
      <t>Percentage points</t>
    </r>
    <r>
      <rPr>
        <sz val="12"/>
        <color indexed="12"/>
        <rFont val="Arial"/>
        <family val="2"/>
      </rPr>
      <t xml:space="preserve">  </t>
    </r>
    <r>
      <rPr>
        <i/>
        <sz val="12"/>
        <color indexed="12"/>
        <rFont val="Arial"/>
        <family val="2"/>
      </rPr>
      <t>p</t>
    </r>
    <r>
      <rPr>
        <sz val="12"/>
        <color indexed="12"/>
        <rFont val="Arial"/>
        <family val="2"/>
      </rPr>
      <t>%</t>
    </r>
  </si>
  <si>
    <t>x</t>
  </si>
  <si>
    <r>
      <t>f(</t>
    </r>
    <r>
      <rPr>
        <i/>
        <sz val="12"/>
        <rFont val="Arial"/>
        <family val="2"/>
      </rPr>
      <t>x</t>
    </r>
    <r>
      <rPr>
        <sz val="12"/>
        <rFont val="Arial"/>
        <family val="0"/>
      </rPr>
      <t>)</t>
    </r>
  </si>
  <si>
    <r>
      <t>K</t>
    </r>
    <r>
      <rPr>
        <i/>
        <vertAlign val="subscript"/>
        <sz val="12"/>
        <rFont val="Symbol"/>
        <family val="1"/>
      </rPr>
      <t>n</t>
    </r>
  </si>
  <si>
    <t>Significance</t>
  </si>
  <si>
    <t>level</t>
  </si>
  <si>
    <t>Critical</t>
  </si>
  <si>
    <t>value</t>
  </si>
  <si>
    <t>y</t>
  </si>
  <si>
    <r>
      <t>H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: Association</t>
    </r>
  </si>
  <si>
    <r>
      <t>H</t>
    </r>
    <r>
      <rPr>
        <b/>
        <vertAlign val="subscript"/>
        <sz val="12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>: No association</t>
    </r>
  </si>
  <si>
    <t>in right-hand tail</t>
  </si>
  <si>
    <t>HYPOTHESIS TEST</t>
  </si>
  <si>
    <t>RESET</t>
  </si>
  <si>
    <t>Resets the whole sheet, except for the data</t>
  </si>
  <si>
    <t>Works out the marginal totals for the observed frquencies</t>
  </si>
  <si>
    <t>Expected</t>
  </si>
  <si>
    <t>Works out the expected frequencies with same marginal totals</t>
  </si>
  <si>
    <t>Calcs</t>
  </si>
  <si>
    <t>Test</t>
  </si>
  <si>
    <t>Chi-Square Goodness of fit for a Contingency Table : User's Notes</t>
  </si>
  <si>
    <t>Works out the contributory values and the chi-squared test-statistics</t>
  </si>
  <si>
    <t>Carries out the test, with given significance level, with stuitable conclusion</t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</si>
  <si>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>Up to a 5 by 4 table can be accommodated</t>
    </r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</si>
  <si>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 xml:space="preserve">Use the 'View - Zoom' facility to fit the 'Chi-sq Test' sheet onto your screen 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</si>
  <si>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>Use the slide bar to set the significance level</t>
    </r>
  </si>
  <si>
    <r>
      <t>•</t>
    </r>
    <r>
      <rPr>
        <sz val="16"/>
        <rFont val="Arial"/>
        <family val="2"/>
      </rPr>
      <t xml:space="preserve"> </t>
    </r>
    <r>
      <rPr>
        <sz val="12"/>
        <rFont val="Arial"/>
        <family val="0"/>
      </rPr>
      <t>Use the buttons to 'step' through the calculations and hypothesis test: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</si>
  <si>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 xml:space="preserve"> Enter your own data or copy a set from a table</t>
    </r>
  </si>
  <si>
    <t>A</t>
  </si>
  <si>
    <t>B</t>
  </si>
  <si>
    <t>C</t>
  </si>
  <si>
    <t>A or SA</t>
  </si>
  <si>
    <t>SR</t>
  </si>
  <si>
    <t>R</t>
  </si>
  <si>
    <t>WR</t>
  </si>
  <si>
    <t>Example: Pebbles on a beach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</si>
</sst>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 Narrow"/>
      <family val="2"/>
    </font>
    <font>
      <b/>
      <i/>
      <sz val="12"/>
      <color indexed="10"/>
      <name val="Arial"/>
      <family val="2"/>
    </font>
    <font>
      <i/>
      <sz val="12"/>
      <name val="Symbol"/>
      <family val="1"/>
    </font>
    <font>
      <i/>
      <sz val="12"/>
      <color indexed="10"/>
      <name val="Arial"/>
      <family val="2"/>
    </font>
    <font>
      <i/>
      <sz val="12"/>
      <color indexed="10"/>
      <name val="Symbol"/>
      <family val="1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i/>
      <vertAlign val="subscript"/>
      <sz val="12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sz val="14"/>
      <color indexed="12"/>
      <name val="Arial Black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6"/>
      <name val="Arial"/>
      <family val="2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4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66" fontId="5" fillId="37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6" fontId="5" fillId="36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167" fontId="1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hidden="1" locked="0"/>
    </xf>
    <xf numFmtId="0" fontId="18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167" fontId="1" fillId="38" borderId="10" xfId="0" applyNumberFormat="1" applyFont="1" applyFill="1" applyBorder="1" applyAlignment="1">
      <alignment vertical="center"/>
    </xf>
    <xf numFmtId="167" fontId="1" fillId="34" borderId="10" xfId="0" applyNumberFormat="1" applyFont="1" applyFill="1" applyBorder="1" applyAlignment="1">
      <alignment vertical="center"/>
    </xf>
    <xf numFmtId="167" fontId="1" fillId="33" borderId="10" xfId="0" applyNumberFormat="1" applyFont="1" applyFill="1" applyBorder="1" applyAlignment="1">
      <alignment vertical="center"/>
    </xf>
    <xf numFmtId="167" fontId="1" fillId="35" borderId="12" xfId="0" applyNumberFormat="1" applyFont="1" applyFill="1" applyBorder="1" applyAlignment="1">
      <alignment vertical="center"/>
    </xf>
    <xf numFmtId="167" fontId="21" fillId="33" borderId="0" xfId="0" applyNumberFormat="1" applyFont="1" applyFill="1" applyAlignment="1">
      <alignment vertical="center"/>
    </xf>
    <xf numFmtId="167" fontId="1" fillId="33" borderId="0" xfId="0" applyNumberFormat="1" applyFont="1" applyFill="1" applyAlignment="1">
      <alignment vertical="center"/>
    </xf>
    <xf numFmtId="167" fontId="4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horizontal="center" vertical="center"/>
    </xf>
    <xf numFmtId="167" fontId="8" fillId="33" borderId="0" xfId="0" applyNumberFormat="1" applyFont="1" applyFill="1" applyBorder="1" applyAlignment="1">
      <alignment horizontal="left" vertical="center"/>
    </xf>
    <xf numFmtId="167" fontId="6" fillId="33" borderId="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 squared probability distribution</a:t>
            </a:r>
          </a:p>
        </c:rich>
      </c:tx>
      <c:layout>
        <c:manualLayout>
          <c:xMode val="factor"/>
          <c:yMode val="factor"/>
          <c:x val="0.03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4925"/>
          <c:w val="0.877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'Chi-Sq pdf'!$D$2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'Chi-Sq pdf'!$C$3:$C$83</c:f>
              <c:numCache/>
            </c:numRef>
          </c:xVal>
          <c:yVal>
            <c:numRef>
              <c:f>'Chi-Sq pdf'!$D$3:$D$83</c:f>
              <c:numCache/>
            </c:numRef>
          </c:yVal>
          <c:smooth val="1"/>
        </c:ser>
        <c:ser>
          <c:idx val="1"/>
          <c:order val="1"/>
          <c:tx>
            <c:v>C. V.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'Chi-Sq pdf'!$F$27:$F$28</c:f>
              <c:numCache/>
            </c:numRef>
          </c:xVal>
          <c:yVal>
            <c:numRef>
              <c:f>'Chi-Sq pdf'!$G$27:$G$28</c:f>
              <c:numCache/>
            </c:numRef>
          </c:yVal>
          <c:smooth val="1"/>
        </c:ser>
        <c:axId val="1256001"/>
        <c:axId val="11304010"/>
      </c:scatterChart>
      <c:valAx>
        <c:axId val="125600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crossBetween val="midCat"/>
        <c:dispUnits/>
        <c:majorUnit val="10"/>
        <c:minorUnit val="5"/>
      </c:valAx>
      <c:valAx>
        <c:axId val="113040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</xdr:rowOff>
    </xdr:from>
    <xdr:to>
      <xdr:col>8</xdr:col>
      <xdr:colOff>200025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2857500" y="200025"/>
        <a:ext cx="3810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0"/>
  <sheetViews>
    <sheetView showGridLines="0" tabSelected="1"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10.28125" style="4" customWidth="1"/>
    <col min="2" max="6" width="7.7109375" style="4" customWidth="1"/>
    <col min="7" max="7" width="7.140625" style="4" customWidth="1"/>
    <col min="8" max="8" width="9.57421875" style="4" customWidth="1"/>
    <col min="9" max="17" width="7.7109375" style="4" customWidth="1"/>
    <col min="18" max="16384" width="9.140625" style="4" customWidth="1"/>
  </cols>
  <sheetData>
    <row r="1" spans="1:13" ht="22.5">
      <c r="A1" s="52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3"/>
      <c r="M1" s="53"/>
    </row>
    <row r="2" spans="1:13" ht="15" customHeight="1">
      <c r="A2" s="55" t="s">
        <v>51</v>
      </c>
      <c r="B2" s="54"/>
      <c r="C2" s="54"/>
      <c r="D2" s="54"/>
      <c r="E2" s="54"/>
      <c r="F2" s="5"/>
      <c r="H2" s="44" t="s">
        <v>26</v>
      </c>
      <c r="J2" s="5"/>
      <c r="M2" s="46" t="s">
        <v>25</v>
      </c>
    </row>
    <row r="3" spans="1:6" ht="4.5" customHeight="1">
      <c r="A3" s="54"/>
      <c r="B3" s="54"/>
      <c r="C3" s="54"/>
      <c r="D3" s="54"/>
      <c r="E3" s="54"/>
      <c r="F3" s="5"/>
    </row>
    <row r="4" spans="1:13" ht="15" customHeight="1">
      <c r="A4" s="2"/>
      <c r="B4" s="12" t="s">
        <v>10</v>
      </c>
      <c r="C4" s="2"/>
      <c r="D4" s="2"/>
      <c r="E4" s="2"/>
      <c r="F4" s="6"/>
      <c r="H4" s="6"/>
      <c r="I4" s="13" t="s">
        <v>11</v>
      </c>
      <c r="J4" s="6"/>
      <c r="K4" s="6"/>
      <c r="L4" s="6"/>
      <c r="M4" s="6"/>
    </row>
    <row r="5" spans="1:13" ht="4.5" customHeight="1">
      <c r="A5" s="2"/>
      <c r="B5" s="2"/>
      <c r="C5" s="2"/>
      <c r="D5" s="2"/>
      <c r="E5" s="2"/>
      <c r="F5" s="6"/>
      <c r="H5" s="6"/>
      <c r="I5" s="6"/>
      <c r="J5" s="6"/>
      <c r="K5" s="6"/>
      <c r="L5" s="6"/>
      <c r="M5" s="6"/>
    </row>
    <row r="6" spans="1:13" ht="15">
      <c r="A6" s="7"/>
      <c r="B6" s="7" t="s">
        <v>47</v>
      </c>
      <c r="C6" s="7" t="s">
        <v>48</v>
      </c>
      <c r="D6" s="14" t="s">
        <v>49</v>
      </c>
      <c r="E6" s="14" t="s">
        <v>50</v>
      </c>
      <c r="F6" s="15" t="s">
        <v>3</v>
      </c>
      <c r="H6" s="7"/>
      <c r="I6" s="7" t="str">
        <f>IF(B6="","",B6)</f>
        <v>A or SA</v>
      </c>
      <c r="J6" s="7" t="str">
        <f>IF(C6="","",C6)</f>
        <v>SR</v>
      </c>
      <c r="K6" s="7" t="str">
        <f>IF(D6="","",D6)</f>
        <v>R</v>
      </c>
      <c r="L6" s="7" t="str">
        <f>IF(E6="","",E6)</f>
        <v>WR</v>
      </c>
      <c r="M6" s="15" t="s">
        <v>3</v>
      </c>
    </row>
    <row r="7" spans="1:18" ht="15">
      <c r="A7" s="7" t="s">
        <v>44</v>
      </c>
      <c r="B7" s="1">
        <v>6</v>
      </c>
      <c r="C7" s="1">
        <v>13</v>
      </c>
      <c r="D7" s="1">
        <v>15</v>
      </c>
      <c r="E7" s="1">
        <v>16</v>
      </c>
      <c r="F7" s="64">
        <f>IF(B7="","",SUM(B7:E7))</f>
        <v>50</v>
      </c>
      <c r="H7" s="7" t="str">
        <f>IF(A7="","",A7)</f>
        <v>A</v>
      </c>
      <c r="I7" s="66">
        <f>IF(B7="","",$F7*B$12/$F$12)</f>
        <v>5.333333333333333</v>
      </c>
      <c r="J7" s="66">
        <f aca="true" t="shared" si="0" ref="J7:L11">IF(C7="","",$F7*C$12/$F$12)</f>
        <v>12</v>
      </c>
      <c r="K7" s="66">
        <f t="shared" si="0"/>
        <v>20.666666666666668</v>
      </c>
      <c r="L7" s="66">
        <f t="shared" si="0"/>
        <v>12</v>
      </c>
      <c r="M7" s="64">
        <f aca="true" t="shared" si="1" ref="M7:M12">F7</f>
        <v>50</v>
      </c>
      <c r="R7" s="56"/>
    </row>
    <row r="8" spans="1:18" ht="15">
      <c r="A8" s="7" t="s">
        <v>45</v>
      </c>
      <c r="B8" s="1">
        <v>2</v>
      </c>
      <c r="C8" s="1">
        <v>13</v>
      </c>
      <c r="D8" s="1">
        <v>20</v>
      </c>
      <c r="E8" s="1">
        <v>15</v>
      </c>
      <c r="F8" s="64">
        <f>IF(B8="","",SUM(B8:E8))</f>
        <v>50</v>
      </c>
      <c r="H8" s="7" t="str">
        <f>IF(A8="","",A8)</f>
        <v>B</v>
      </c>
      <c r="I8" s="66">
        <f>IF(B8="","",$F8*B$12/$F$12)</f>
        <v>5.333333333333333</v>
      </c>
      <c r="J8" s="66">
        <f t="shared" si="0"/>
        <v>12</v>
      </c>
      <c r="K8" s="66">
        <f t="shared" si="0"/>
        <v>20.666666666666668</v>
      </c>
      <c r="L8" s="66">
        <f t="shared" si="0"/>
        <v>12</v>
      </c>
      <c r="M8" s="64">
        <f t="shared" si="1"/>
        <v>50</v>
      </c>
      <c r="R8" s="56"/>
    </row>
    <row r="9" spans="1:18" ht="15">
      <c r="A9" s="7" t="s">
        <v>46</v>
      </c>
      <c r="B9" s="1">
        <v>8</v>
      </c>
      <c r="C9" s="1">
        <v>10</v>
      </c>
      <c r="D9" s="1">
        <v>27</v>
      </c>
      <c r="E9" s="1">
        <v>5</v>
      </c>
      <c r="F9" s="64">
        <f>IF(B9="","",SUM(B9:E9))</f>
        <v>50</v>
      </c>
      <c r="H9" s="7" t="str">
        <f>IF(A9="","",A9)</f>
        <v>C</v>
      </c>
      <c r="I9" s="66">
        <f>IF(B9="","",$F9*B$12/$F$12)</f>
        <v>5.333333333333333</v>
      </c>
      <c r="J9" s="66">
        <f t="shared" si="0"/>
        <v>12</v>
      </c>
      <c r="K9" s="66">
        <f t="shared" si="0"/>
        <v>20.666666666666668</v>
      </c>
      <c r="L9" s="66">
        <f t="shared" si="0"/>
        <v>12</v>
      </c>
      <c r="M9" s="64">
        <f t="shared" si="1"/>
        <v>50</v>
      </c>
      <c r="R9" s="56"/>
    </row>
    <row r="10" spans="1:13" ht="15">
      <c r="A10" s="7"/>
      <c r="B10" s="1"/>
      <c r="C10" s="1"/>
      <c r="D10" s="1"/>
      <c r="E10" s="1"/>
      <c r="F10" s="64">
        <f>IF(B10="","",SUM(B10:E10))</f>
      </c>
      <c r="H10" s="7">
        <f>IF(A10="","",A10)</f>
      </c>
      <c r="I10" s="66">
        <f>IF(B10="","",$F10*B$12/$F$12)</f>
      </c>
      <c r="J10" s="66">
        <f t="shared" si="0"/>
      </c>
      <c r="K10" s="66">
        <f t="shared" si="0"/>
      </c>
      <c r="L10" s="66">
        <f t="shared" si="0"/>
      </c>
      <c r="M10" s="64">
        <f t="shared" si="1"/>
      </c>
    </row>
    <row r="11" spans="1:18" ht="15">
      <c r="A11" s="16"/>
      <c r="B11" s="1"/>
      <c r="C11" s="1"/>
      <c r="D11" s="1"/>
      <c r="E11" s="1"/>
      <c r="F11" s="64">
        <f>IF(B11="","",SUM(B11:E11))</f>
      </c>
      <c r="H11" s="7"/>
      <c r="I11" s="66">
        <f>IF(B11="","",$F11*B$12/$F$12)</f>
      </c>
      <c r="J11" s="66">
        <f t="shared" si="0"/>
      </c>
      <c r="K11" s="66">
        <f t="shared" si="0"/>
      </c>
      <c r="L11" s="66">
        <f t="shared" si="0"/>
      </c>
      <c r="M11" s="64">
        <f t="shared" si="1"/>
      </c>
      <c r="P11" s="56"/>
      <c r="Q11" s="56"/>
      <c r="R11" s="56"/>
    </row>
    <row r="12" spans="1:18" ht="15">
      <c r="A12" s="15" t="s">
        <v>3</v>
      </c>
      <c r="B12" s="64">
        <f>IF(B7="","",SUM(B7:B11))</f>
        <v>16</v>
      </c>
      <c r="C12" s="64">
        <f>IF(C7="","",SUM(C7:C11))</f>
        <v>36</v>
      </c>
      <c r="D12" s="64">
        <f>IF(D7="","",SUM(D7:D11))</f>
        <v>62</v>
      </c>
      <c r="E12" s="64">
        <f>IF(E7="","",SUM(E7:E11))</f>
        <v>36</v>
      </c>
      <c r="F12" s="65">
        <f>SUM(F7:F11)</f>
        <v>150</v>
      </c>
      <c r="H12" s="15" t="s">
        <v>3</v>
      </c>
      <c r="I12" s="64">
        <f>B12</f>
        <v>16</v>
      </c>
      <c r="J12" s="64">
        <f>C12</f>
        <v>36</v>
      </c>
      <c r="K12" s="64">
        <f>D12</f>
        <v>62</v>
      </c>
      <c r="L12" s="64">
        <f>E12</f>
        <v>36</v>
      </c>
      <c r="M12" s="65">
        <f t="shared" si="1"/>
        <v>150</v>
      </c>
      <c r="P12" s="56"/>
      <c r="Q12" s="56"/>
      <c r="R12" s="56"/>
    </row>
    <row r="13" spans="16:18" ht="9.75" customHeight="1">
      <c r="P13" s="56"/>
      <c r="Q13" s="56"/>
      <c r="R13" s="56"/>
    </row>
    <row r="14" spans="2:18" ht="18">
      <c r="B14" s="3" t="s">
        <v>0</v>
      </c>
      <c r="G14" s="3" t="s">
        <v>5</v>
      </c>
      <c r="J14" s="4">
        <f>(5-COUNTBLANK(B7:B11)-1)*(4-COUNTBLANK(B7:E7)-1)</f>
        <v>6</v>
      </c>
      <c r="P14" s="56"/>
      <c r="Q14" s="56"/>
      <c r="R14" s="56"/>
    </row>
    <row r="15" ht="4.5" customHeight="1"/>
    <row r="16" spans="2:13" ht="17.25">
      <c r="B16" s="66">
        <f aca="true" t="shared" si="2" ref="B16:E18">IF(B7="","",(B7-I7)^2/I7)</f>
        <v>0.08333333333333341</v>
      </c>
      <c r="C16" s="66">
        <f t="shared" si="2"/>
        <v>0.08333333333333333</v>
      </c>
      <c r="D16" s="66">
        <f t="shared" si="2"/>
        <v>1.5537634408602155</v>
      </c>
      <c r="E16" s="66">
        <f t="shared" si="2"/>
        <v>1.3333333333333333</v>
      </c>
      <c r="G16" s="8" t="s">
        <v>1</v>
      </c>
      <c r="H16" s="67">
        <f>SUM(B16:E20)</f>
        <v>13.682795698924728</v>
      </c>
      <c r="K16" s="8" t="s">
        <v>4</v>
      </c>
      <c r="L16" s="10"/>
      <c r="M16" s="9">
        <f>CHIINV(J18,J14)</f>
        <v>12.591587243743978</v>
      </c>
    </row>
    <row r="17" spans="2:5" ht="15">
      <c r="B17" s="66">
        <f t="shared" si="2"/>
        <v>2.083333333333333</v>
      </c>
      <c r="C17" s="66">
        <f t="shared" si="2"/>
        <v>0.08333333333333333</v>
      </c>
      <c r="D17" s="66">
        <f t="shared" si="2"/>
        <v>0.021505376344086096</v>
      </c>
      <c r="E17" s="66">
        <f t="shared" si="2"/>
        <v>0.75</v>
      </c>
    </row>
    <row r="18" spans="2:11" ht="15.75">
      <c r="B18" s="66">
        <f t="shared" si="2"/>
        <v>1.3333333333333337</v>
      </c>
      <c r="C18" s="66">
        <f t="shared" si="2"/>
        <v>0.3333333333333333</v>
      </c>
      <c r="D18" s="66">
        <f t="shared" si="2"/>
        <v>1.9408602150537624</v>
      </c>
      <c r="E18" s="66">
        <f t="shared" si="2"/>
        <v>4.083333333333333</v>
      </c>
      <c r="G18" s="3" t="s">
        <v>6</v>
      </c>
      <c r="H18" s="11"/>
      <c r="J18" s="43">
        <f>B30/200</f>
        <v>0.05</v>
      </c>
      <c r="K18" s="42"/>
    </row>
    <row r="19" spans="2:7" ht="15">
      <c r="B19" s="66">
        <f aca="true" t="shared" si="3" ref="B19:E20">IF(B10="","",(B10-I10)^2/I10)</f>
      </c>
      <c r="C19" s="66">
        <f t="shared" si="3"/>
      </c>
      <c r="D19" s="66">
        <f t="shared" si="3"/>
      </c>
      <c r="E19" s="66">
        <f t="shared" si="3"/>
      </c>
      <c r="G19" s="3"/>
    </row>
    <row r="20" spans="2:13" ht="15">
      <c r="B20" s="66">
        <f t="shared" si="3"/>
      </c>
      <c r="C20" s="66">
        <f t="shared" si="3"/>
      </c>
      <c r="D20" s="66">
        <f t="shared" si="3"/>
      </c>
      <c r="E20" s="66">
        <f t="shared" si="3"/>
      </c>
      <c r="G20" s="68" t="s">
        <v>28</v>
      </c>
      <c r="H20" s="69"/>
      <c r="I20" s="69"/>
      <c r="J20" s="69"/>
      <c r="K20" s="69"/>
      <c r="L20" s="69"/>
      <c r="M20" s="69"/>
    </row>
    <row r="21" spans="7:13" ht="20.25" customHeight="1">
      <c r="G21" s="70" t="s">
        <v>8</v>
      </c>
      <c r="H21" s="71"/>
      <c r="I21" s="71"/>
      <c r="J21" s="71">
        <f>H16</f>
        <v>13.682795698924728</v>
      </c>
      <c r="K21" s="72" t="str">
        <f>IF($J$21&gt;$L$21,"&gt;","&lt;")</f>
        <v>&gt;</v>
      </c>
      <c r="L21" s="71">
        <f>M16</f>
        <v>12.591587243743978</v>
      </c>
      <c r="M21" s="71"/>
    </row>
    <row r="22" spans="7:13" ht="19.5" customHeight="1">
      <c r="G22" s="75" t="s">
        <v>7</v>
      </c>
      <c r="H22" s="75"/>
      <c r="I22" s="73" t="str">
        <f>IF($J$21&gt;$L$21,"significant","not significant")</f>
        <v>significant</v>
      </c>
      <c r="J22" s="71"/>
      <c r="K22" s="71"/>
      <c r="L22" s="74" t="str">
        <f>IF(I22="significant","Reject","Accept")</f>
        <v>Reject</v>
      </c>
      <c r="M22" s="71" t="s">
        <v>9</v>
      </c>
    </row>
    <row r="30" ht="15">
      <c r="B30" s="58">
        <v>10</v>
      </c>
    </row>
  </sheetData>
  <sheetProtection/>
  <mergeCells count="1">
    <mergeCell ref="G22:H22"/>
  </mergeCells>
  <conditionalFormatting sqref="L22">
    <cfRule type="cellIs" priority="1" dxfId="9" operator="equal" stopIfTrue="1">
      <formula>"Accept"</formula>
    </cfRule>
    <cfRule type="cellIs" priority="2" dxfId="8" operator="equal" stopIfTrue="1">
      <formula>"Reject"</formula>
    </cfRule>
  </conditionalFormatting>
  <conditionalFormatting sqref="I22">
    <cfRule type="cellIs" priority="3" dxfId="7" operator="equal" stopIfTrue="1">
      <formula>"significant"</formula>
    </cfRule>
    <cfRule type="cellIs" priority="4" dxfId="6" operator="equal" stopIfTrue="1">
      <formula>"not significant"</formula>
    </cfRule>
  </conditionalFormatting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11.28125" style="17" customWidth="1"/>
    <col min="2" max="2" width="5.28125" style="17" customWidth="1"/>
    <col min="3" max="3" width="2.00390625" style="18" customWidth="1"/>
    <col min="4" max="8" width="12.7109375" style="17" customWidth="1"/>
    <col min="9" max="16384" width="9.140625" style="17" customWidth="1"/>
  </cols>
  <sheetData>
    <row r="1" spans="4:5" ht="15">
      <c r="D1" s="33" t="s">
        <v>16</v>
      </c>
      <c r="E1" s="34"/>
    </row>
    <row r="2" spans="4:10" ht="15" thickBot="1">
      <c r="D2" s="19">
        <v>10</v>
      </c>
      <c r="E2" s="19">
        <v>5</v>
      </c>
      <c r="F2" s="19">
        <v>2.5</v>
      </c>
      <c r="G2" s="19">
        <v>1</v>
      </c>
      <c r="H2" s="19">
        <v>0.5</v>
      </c>
      <c r="J2" s="17">
        <f>'Chi-Sq Test'!J18*100</f>
        <v>5</v>
      </c>
    </row>
    <row r="3" spans="1:10" ht="15">
      <c r="A3" s="31" t="s">
        <v>12</v>
      </c>
      <c r="B3" s="19">
        <f aca="true" t="shared" si="0" ref="B3:B22">B2+1</f>
        <v>1</v>
      </c>
      <c r="C3" s="20"/>
      <c r="D3" s="21">
        <f aca="true" t="shared" si="1" ref="D3:H18">CHIINV(D$2/100,$B3)</f>
        <v>2.705543454095414</v>
      </c>
      <c r="E3" s="22">
        <f t="shared" si="1"/>
        <v>3.8414588206941236</v>
      </c>
      <c r="F3" s="22">
        <f t="shared" si="1"/>
        <v>5.023886187314886</v>
      </c>
      <c r="G3" s="22">
        <f t="shared" si="1"/>
        <v>6.634896601021212</v>
      </c>
      <c r="H3" s="23">
        <f t="shared" si="1"/>
        <v>7.879438576622412</v>
      </c>
      <c r="J3" s="17">
        <f>'Chi-Sq Test'!J14</f>
        <v>6</v>
      </c>
    </row>
    <row r="4" spans="1:8" ht="15">
      <c r="A4" s="31" t="s">
        <v>13</v>
      </c>
      <c r="B4" s="19">
        <f t="shared" si="0"/>
        <v>2</v>
      </c>
      <c r="C4" s="20"/>
      <c r="D4" s="24">
        <f t="shared" si="1"/>
        <v>4.605170185988091</v>
      </c>
      <c r="E4" s="25">
        <f t="shared" si="1"/>
        <v>5.991464547107982</v>
      </c>
      <c r="F4" s="25">
        <f t="shared" si="1"/>
        <v>7.3777589082278725</v>
      </c>
      <c r="G4" s="25">
        <f t="shared" si="1"/>
        <v>9.210340371976182</v>
      </c>
      <c r="H4" s="26">
        <f t="shared" si="1"/>
        <v>10.596634733096073</v>
      </c>
    </row>
    <row r="5" spans="1:8" ht="15">
      <c r="A5" s="31" t="s">
        <v>14</v>
      </c>
      <c r="B5" s="19">
        <f t="shared" si="0"/>
        <v>3</v>
      </c>
      <c r="C5" s="20"/>
      <c r="D5" s="24">
        <f t="shared" si="1"/>
        <v>6.2513886311703235</v>
      </c>
      <c r="E5" s="25">
        <f t="shared" si="1"/>
        <v>7.814727903251179</v>
      </c>
      <c r="F5" s="25">
        <f t="shared" si="1"/>
        <v>9.348403604496148</v>
      </c>
      <c r="G5" s="25">
        <f t="shared" si="1"/>
        <v>11.344866730144371</v>
      </c>
      <c r="H5" s="26">
        <f t="shared" si="1"/>
        <v>12.838156466598651</v>
      </c>
    </row>
    <row r="6" spans="1:8" ht="15">
      <c r="A6" s="32" t="s">
        <v>15</v>
      </c>
      <c r="B6" s="19">
        <f t="shared" si="0"/>
        <v>4</v>
      </c>
      <c r="C6" s="20"/>
      <c r="D6" s="24">
        <f t="shared" si="1"/>
        <v>7.779440339734858</v>
      </c>
      <c r="E6" s="25">
        <f t="shared" si="1"/>
        <v>9.487729036781158</v>
      </c>
      <c r="F6" s="25">
        <f t="shared" si="1"/>
        <v>11.143286781877798</v>
      </c>
      <c r="G6" s="25">
        <f t="shared" si="1"/>
        <v>13.276704135987623</v>
      </c>
      <c r="H6" s="26">
        <f t="shared" si="1"/>
        <v>14.860259000560244</v>
      </c>
    </row>
    <row r="7" spans="2:8" ht="15">
      <c r="B7" s="19">
        <f t="shared" si="0"/>
        <v>5</v>
      </c>
      <c r="C7" s="20"/>
      <c r="D7" s="24">
        <f t="shared" si="1"/>
        <v>9.236356899781118</v>
      </c>
      <c r="E7" s="25">
        <f t="shared" si="1"/>
        <v>11.070497693516353</v>
      </c>
      <c r="F7" s="25">
        <f t="shared" si="1"/>
        <v>12.832501994030029</v>
      </c>
      <c r="G7" s="25">
        <f t="shared" si="1"/>
        <v>15.086272469388991</v>
      </c>
      <c r="H7" s="26">
        <f t="shared" si="1"/>
        <v>16.749602343639044</v>
      </c>
    </row>
    <row r="8" spans="2:8" ht="15">
      <c r="B8" s="19">
        <f t="shared" si="0"/>
        <v>6</v>
      </c>
      <c r="C8" s="20"/>
      <c r="D8" s="24">
        <f t="shared" si="1"/>
        <v>10.64464067566842</v>
      </c>
      <c r="E8" s="25">
        <f t="shared" si="1"/>
        <v>12.591587243743978</v>
      </c>
      <c r="F8" s="25">
        <f t="shared" si="1"/>
        <v>14.449375335447922</v>
      </c>
      <c r="G8" s="25">
        <f t="shared" si="1"/>
        <v>16.81189382977093</v>
      </c>
      <c r="H8" s="26">
        <f t="shared" si="1"/>
        <v>18.54758417851109</v>
      </c>
    </row>
    <row r="9" spans="2:8" ht="15">
      <c r="B9" s="19">
        <f t="shared" si="0"/>
        <v>7</v>
      </c>
      <c r="C9" s="20"/>
      <c r="D9" s="24">
        <f t="shared" si="1"/>
        <v>12.01703662378053</v>
      </c>
      <c r="E9" s="25">
        <f t="shared" si="1"/>
        <v>14.067140449340167</v>
      </c>
      <c r="F9" s="25">
        <f t="shared" si="1"/>
        <v>16.012764274629326</v>
      </c>
      <c r="G9" s="25">
        <f t="shared" si="1"/>
        <v>18.47530690658236</v>
      </c>
      <c r="H9" s="26">
        <f t="shared" si="1"/>
        <v>20.277739874962624</v>
      </c>
    </row>
    <row r="10" spans="2:8" ht="15">
      <c r="B10" s="19">
        <f t="shared" si="0"/>
        <v>8</v>
      </c>
      <c r="C10" s="20"/>
      <c r="D10" s="24">
        <f t="shared" si="1"/>
        <v>13.361566136511726</v>
      </c>
      <c r="E10" s="25">
        <f t="shared" si="1"/>
        <v>15.507313055865453</v>
      </c>
      <c r="F10" s="25">
        <f t="shared" si="1"/>
        <v>17.53454613948465</v>
      </c>
      <c r="G10" s="25">
        <f t="shared" si="1"/>
        <v>20.090235029663233</v>
      </c>
      <c r="H10" s="26">
        <f t="shared" si="1"/>
        <v>21.95495499065953</v>
      </c>
    </row>
    <row r="11" spans="2:8" ht="15">
      <c r="B11" s="19">
        <f t="shared" si="0"/>
        <v>9</v>
      </c>
      <c r="C11" s="20"/>
      <c r="D11" s="24">
        <f t="shared" si="1"/>
        <v>14.683656573259835</v>
      </c>
      <c r="E11" s="25">
        <f t="shared" si="1"/>
        <v>16.91897760462045</v>
      </c>
      <c r="F11" s="25">
        <f t="shared" si="1"/>
        <v>19.022767798641635</v>
      </c>
      <c r="G11" s="25">
        <f t="shared" si="1"/>
        <v>21.66599433346193</v>
      </c>
      <c r="H11" s="26">
        <f t="shared" si="1"/>
        <v>23.589350781257387</v>
      </c>
    </row>
    <row r="12" spans="2:8" ht="15">
      <c r="B12" s="19">
        <f t="shared" si="0"/>
        <v>10</v>
      </c>
      <c r="C12" s="20"/>
      <c r="D12" s="24">
        <f t="shared" si="1"/>
        <v>15.987179172105261</v>
      </c>
      <c r="E12" s="25">
        <f t="shared" si="1"/>
        <v>18.307038053275146</v>
      </c>
      <c r="F12" s="25">
        <f t="shared" si="1"/>
        <v>20.483177350807395</v>
      </c>
      <c r="G12" s="25">
        <f t="shared" si="1"/>
        <v>23.20925115895436</v>
      </c>
      <c r="H12" s="26">
        <f t="shared" si="1"/>
        <v>25.188179571971173</v>
      </c>
    </row>
    <row r="13" spans="2:8" ht="15">
      <c r="B13" s="19">
        <f t="shared" si="0"/>
        <v>11</v>
      </c>
      <c r="C13" s="20"/>
      <c r="D13" s="24">
        <f t="shared" si="1"/>
        <v>17.27500851750007</v>
      </c>
      <c r="E13" s="25">
        <f t="shared" si="1"/>
        <v>19.675137572682498</v>
      </c>
      <c r="F13" s="25">
        <f t="shared" si="1"/>
        <v>21.920049261021205</v>
      </c>
      <c r="G13" s="25">
        <f t="shared" si="1"/>
        <v>24.724970311318284</v>
      </c>
      <c r="H13" s="26">
        <f t="shared" si="1"/>
        <v>26.756848916469632</v>
      </c>
    </row>
    <row r="14" spans="2:8" ht="15">
      <c r="B14" s="19">
        <f t="shared" si="0"/>
        <v>12</v>
      </c>
      <c r="C14" s="20"/>
      <c r="D14" s="24">
        <f t="shared" si="1"/>
        <v>18.549347786703244</v>
      </c>
      <c r="E14" s="25">
        <f t="shared" si="1"/>
        <v>21.026069817483066</v>
      </c>
      <c r="F14" s="25">
        <f t="shared" si="1"/>
        <v>23.336664158645338</v>
      </c>
      <c r="G14" s="25">
        <f t="shared" si="1"/>
        <v>26.21696730553585</v>
      </c>
      <c r="H14" s="26">
        <f t="shared" si="1"/>
        <v>28.299518822046032</v>
      </c>
    </row>
    <row r="15" spans="2:8" ht="15">
      <c r="B15" s="19">
        <f t="shared" si="0"/>
        <v>13</v>
      </c>
      <c r="C15" s="20"/>
      <c r="D15" s="24">
        <f t="shared" si="1"/>
        <v>19.81192930712756</v>
      </c>
      <c r="E15" s="25">
        <f t="shared" si="1"/>
        <v>22.362032494826938</v>
      </c>
      <c r="F15" s="25">
        <f t="shared" si="1"/>
        <v>24.73560488493154</v>
      </c>
      <c r="G15" s="25">
        <f t="shared" si="1"/>
        <v>27.68824961045705</v>
      </c>
      <c r="H15" s="26">
        <f t="shared" si="1"/>
        <v>29.819471223653217</v>
      </c>
    </row>
    <row r="16" spans="2:8" ht="15">
      <c r="B16" s="19">
        <f t="shared" si="0"/>
        <v>14</v>
      </c>
      <c r="C16" s="20"/>
      <c r="D16" s="24">
        <f t="shared" si="1"/>
        <v>21.064144212997057</v>
      </c>
      <c r="E16" s="25">
        <f t="shared" si="1"/>
        <v>23.68479130484058</v>
      </c>
      <c r="F16" s="25">
        <f t="shared" si="1"/>
        <v>26.11894804503737</v>
      </c>
      <c r="G16" s="25">
        <f t="shared" si="1"/>
        <v>29.141237740672796</v>
      </c>
      <c r="H16" s="26">
        <f t="shared" si="1"/>
        <v>31.31934962259529</v>
      </c>
    </row>
    <row r="17" spans="2:8" ht="15">
      <c r="B17" s="19">
        <f t="shared" si="0"/>
        <v>15</v>
      </c>
      <c r="C17" s="20"/>
      <c r="D17" s="24">
        <f t="shared" si="1"/>
        <v>22.30712958157869</v>
      </c>
      <c r="E17" s="25">
        <f t="shared" si="1"/>
        <v>24.99579013972863</v>
      </c>
      <c r="F17" s="25">
        <f t="shared" si="1"/>
        <v>27.488392863442982</v>
      </c>
      <c r="G17" s="25">
        <f t="shared" si="1"/>
        <v>30.577914166892494</v>
      </c>
      <c r="H17" s="26">
        <f t="shared" si="1"/>
        <v>32.80132064579184</v>
      </c>
    </row>
    <row r="18" spans="2:8" ht="15">
      <c r="B18" s="19">
        <f t="shared" si="0"/>
        <v>16</v>
      </c>
      <c r="C18" s="20"/>
      <c r="D18" s="24">
        <f t="shared" si="1"/>
        <v>23.541828923096112</v>
      </c>
      <c r="E18" s="25">
        <f t="shared" si="1"/>
        <v>26.29622760486424</v>
      </c>
      <c r="F18" s="25">
        <f t="shared" si="1"/>
        <v>28.84535072340476</v>
      </c>
      <c r="G18" s="25">
        <f t="shared" si="1"/>
        <v>31.999926908815183</v>
      </c>
      <c r="H18" s="26">
        <f t="shared" si="1"/>
        <v>34.2671865378267</v>
      </c>
    </row>
    <row r="19" spans="2:8" ht="15">
      <c r="B19" s="19">
        <f t="shared" si="0"/>
        <v>17</v>
      </c>
      <c r="C19" s="20"/>
      <c r="D19" s="24">
        <f aca="true" t="shared" si="2" ref="D19:H22">CHIINV(D$2/100,$B19)</f>
        <v>24.76903534390145</v>
      </c>
      <c r="E19" s="25">
        <f t="shared" si="2"/>
        <v>27.587111638275324</v>
      </c>
      <c r="F19" s="25">
        <f t="shared" si="2"/>
        <v>30.191009121639812</v>
      </c>
      <c r="G19" s="25">
        <f t="shared" si="2"/>
        <v>33.40866360500461</v>
      </c>
      <c r="H19" s="26">
        <f t="shared" si="2"/>
        <v>35.7184656590046</v>
      </c>
    </row>
    <row r="20" spans="2:8" ht="15">
      <c r="B20" s="19">
        <f t="shared" si="0"/>
        <v>18</v>
      </c>
      <c r="C20" s="20"/>
      <c r="D20" s="24">
        <f t="shared" si="2"/>
        <v>25.98942308263721</v>
      </c>
      <c r="E20" s="25">
        <f t="shared" si="2"/>
        <v>28.869299430392633</v>
      </c>
      <c r="F20" s="25">
        <f t="shared" si="2"/>
        <v>31.52637844038663</v>
      </c>
      <c r="G20" s="25">
        <f t="shared" si="2"/>
        <v>34.80530573470507</v>
      </c>
      <c r="H20" s="26">
        <f t="shared" si="2"/>
        <v>37.156451456606746</v>
      </c>
    </row>
    <row r="21" spans="2:8" ht="15">
      <c r="B21" s="19">
        <f t="shared" si="0"/>
        <v>19</v>
      </c>
      <c r="C21" s="20"/>
      <c r="D21" s="24">
        <f t="shared" si="2"/>
        <v>27.203571029356826</v>
      </c>
      <c r="E21" s="25">
        <f t="shared" si="2"/>
        <v>30.143527205646155</v>
      </c>
      <c r="F21" s="25">
        <f t="shared" si="2"/>
        <v>32.85232686172971</v>
      </c>
      <c r="G21" s="25">
        <f t="shared" si="2"/>
        <v>36.19086912927005</v>
      </c>
      <c r="H21" s="26">
        <f t="shared" si="2"/>
        <v>38.58225655493424</v>
      </c>
    </row>
    <row r="22" spans="2:8" ht="15" thickBot="1">
      <c r="B22" s="19">
        <f t="shared" si="0"/>
        <v>20</v>
      </c>
      <c r="C22" s="20"/>
      <c r="D22" s="28">
        <f t="shared" si="2"/>
        <v>28.411980584305635</v>
      </c>
      <c r="E22" s="29">
        <f t="shared" si="2"/>
        <v>31.410432844230925</v>
      </c>
      <c r="F22" s="29">
        <f t="shared" si="2"/>
        <v>34.16960690283834</v>
      </c>
      <c r="G22" s="29">
        <f t="shared" si="2"/>
        <v>37.56623478662505</v>
      </c>
      <c r="H22" s="30">
        <f t="shared" si="2"/>
        <v>39.996846312938644</v>
      </c>
    </row>
  </sheetData>
  <sheetProtection/>
  <conditionalFormatting sqref="E2">
    <cfRule type="cellIs" priority="1" dxfId="1" operator="equal" stopIfTrue="1">
      <formula>J2</formula>
    </cfRule>
  </conditionalFormatting>
  <conditionalFormatting sqref="F2">
    <cfRule type="cellIs" priority="2" dxfId="1" operator="equal" stopIfTrue="1">
      <formula>J2</formula>
    </cfRule>
  </conditionalFormatting>
  <conditionalFormatting sqref="G2">
    <cfRule type="cellIs" priority="3" dxfId="1" operator="equal" stopIfTrue="1">
      <formula>J2</formula>
    </cfRule>
  </conditionalFormatting>
  <conditionalFormatting sqref="H2">
    <cfRule type="cellIs" priority="4" dxfId="1" operator="equal" stopIfTrue="1">
      <formula>J2</formula>
    </cfRule>
  </conditionalFormatting>
  <conditionalFormatting sqref="D2">
    <cfRule type="cellIs" priority="5" dxfId="1" operator="equal" stopIfTrue="1">
      <formula>J2</formula>
    </cfRule>
  </conditionalFormatting>
  <conditionalFormatting sqref="B3:B22">
    <cfRule type="cellIs" priority="6" dxfId="0" operator="equal" stopIfTrue="1">
      <formula>$J$3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L413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10.7109375" style="17" customWidth="1"/>
    <col min="2" max="2" width="4.57421875" style="17" customWidth="1"/>
    <col min="3" max="3" width="9.140625" style="17" customWidth="1"/>
    <col min="4" max="4" width="15.8515625" style="17" bestFit="1" customWidth="1"/>
    <col min="5" max="7" width="15.8515625" style="17" customWidth="1"/>
    <col min="8" max="11" width="9.140625" style="17" customWidth="1"/>
    <col min="12" max="12" width="13.7109375" style="17" customWidth="1"/>
    <col min="13" max="13" width="9.140625" style="17" customWidth="1"/>
    <col min="14" max="14" width="10.8515625" style="17" customWidth="1"/>
    <col min="15" max="16384" width="9.140625" style="17" customWidth="1"/>
  </cols>
  <sheetData>
    <row r="2" spans="1:12" ht="18">
      <c r="A2" s="17" t="s">
        <v>12</v>
      </c>
      <c r="C2" s="47" t="s">
        <v>17</v>
      </c>
      <c r="D2" s="48" t="s">
        <v>18</v>
      </c>
      <c r="E2" s="39"/>
      <c r="F2" s="39"/>
      <c r="G2" s="39"/>
      <c r="K2" s="38" t="s">
        <v>15</v>
      </c>
      <c r="L2" s="36" t="s">
        <v>19</v>
      </c>
    </row>
    <row r="3" spans="1:12" ht="15">
      <c r="A3" s="17" t="s">
        <v>13</v>
      </c>
      <c r="C3" s="49">
        <f>IF($A$6=1,0.25,0)</f>
        <v>0</v>
      </c>
      <c r="D3" s="49">
        <f>IF($A$6=2,0.5,VLOOKUP($A$6,$K$3:$L$22,2)*C3^($A$6/2-1)*EXP(-0.5*C3))</f>
        <v>0</v>
      </c>
      <c r="E3" s="18"/>
      <c r="F3" s="18"/>
      <c r="G3" s="18"/>
      <c r="K3" s="37">
        <v>1</v>
      </c>
      <c r="L3" s="37">
        <f>1/(SQRT(2*3.14159))</f>
        <v>0.3989424488876037</v>
      </c>
    </row>
    <row r="4" spans="1:12" ht="15">
      <c r="A4" s="17" t="s">
        <v>14</v>
      </c>
      <c r="C4" s="49">
        <f>0.5</f>
        <v>0.5</v>
      </c>
      <c r="D4" s="49">
        <f aca="true" t="shared" si="0" ref="D4:D66">VLOOKUP($A$6,$K$3:$L$22,2)*C4^($A$6/2-1)*EXP(-0.5*C4)</f>
        <v>0.2196957375184062</v>
      </c>
      <c r="E4" s="18"/>
      <c r="F4" s="18"/>
      <c r="G4" s="18"/>
      <c r="K4" s="37">
        <f>K3+1</f>
        <v>2</v>
      </c>
      <c r="L4" s="37">
        <f>1/(2)</f>
        <v>0.5</v>
      </c>
    </row>
    <row r="5" spans="1:12" ht="15">
      <c r="A5" s="27" t="s">
        <v>15</v>
      </c>
      <c r="C5" s="49">
        <f aca="true" t="shared" si="1" ref="C5:C34">C4+0.5</f>
        <v>1</v>
      </c>
      <c r="D5" s="49">
        <f t="shared" si="0"/>
        <v>0.24197082671117182</v>
      </c>
      <c r="E5" s="18"/>
      <c r="F5" s="18"/>
      <c r="G5" s="18"/>
      <c r="K5" s="37">
        <f aca="true" t="shared" si="2" ref="K5:K22">K4+1</f>
        <v>3</v>
      </c>
      <c r="L5" s="37">
        <f>1/(SQRT(2*3.14159))</f>
        <v>0.3989424488876037</v>
      </c>
    </row>
    <row r="6" spans="1:12" ht="15">
      <c r="A6" s="35">
        <v>3</v>
      </c>
      <c r="C6" s="49">
        <f t="shared" si="1"/>
        <v>1.5</v>
      </c>
      <c r="D6" s="49">
        <f t="shared" si="0"/>
        <v>0.23079958168223685</v>
      </c>
      <c r="E6" s="18"/>
      <c r="F6" s="18"/>
      <c r="G6" s="18"/>
      <c r="K6" s="37">
        <f t="shared" si="2"/>
        <v>4</v>
      </c>
      <c r="L6" s="37">
        <f>1/(2*2)</f>
        <v>0.25</v>
      </c>
    </row>
    <row r="7" spans="3:12" ht="15">
      <c r="C7" s="49">
        <f t="shared" si="1"/>
        <v>2</v>
      </c>
      <c r="D7" s="49">
        <f t="shared" si="0"/>
        <v>0.2075538363669287</v>
      </c>
      <c r="E7" s="18"/>
      <c r="F7" s="18"/>
      <c r="G7" s="18"/>
      <c r="K7" s="37">
        <f t="shared" si="2"/>
        <v>5</v>
      </c>
      <c r="L7" s="37">
        <f>1/(3*SQRT(2*3.14159))</f>
        <v>0.1329808162958679</v>
      </c>
    </row>
    <row r="8" spans="3:12" ht="15">
      <c r="C8" s="49">
        <f t="shared" si="1"/>
        <v>2.5</v>
      </c>
      <c r="D8" s="49">
        <f t="shared" si="0"/>
        <v>0.18072246899306701</v>
      </c>
      <c r="E8" s="18"/>
      <c r="F8" s="18"/>
      <c r="G8" s="18"/>
      <c r="K8" s="37">
        <f t="shared" si="2"/>
        <v>6</v>
      </c>
      <c r="L8" s="37">
        <f>1/(4*2*2)</f>
        <v>0.0625</v>
      </c>
    </row>
    <row r="9" spans="1:12" ht="15">
      <c r="A9" s="17" t="s">
        <v>20</v>
      </c>
      <c r="C9" s="49">
        <f t="shared" si="1"/>
        <v>3</v>
      </c>
      <c r="D9" s="49">
        <f t="shared" si="0"/>
        <v>0.15418039491908717</v>
      </c>
      <c r="E9" s="18"/>
      <c r="F9" s="18"/>
      <c r="G9" s="18"/>
      <c r="K9" s="37">
        <f t="shared" si="2"/>
        <v>7</v>
      </c>
      <c r="L9" s="37">
        <f>1/(5*3*SQRT(2*3.14159))</f>
        <v>0.026596163259173577</v>
      </c>
    </row>
    <row r="10" spans="1:12" ht="15">
      <c r="A10" s="17" t="s">
        <v>21</v>
      </c>
      <c r="C10" s="49">
        <f t="shared" si="1"/>
        <v>3.5</v>
      </c>
      <c r="D10" s="49">
        <f t="shared" si="0"/>
        <v>0.12969670060818825</v>
      </c>
      <c r="E10" s="18"/>
      <c r="F10" s="18"/>
      <c r="G10" s="18"/>
      <c r="K10" s="37">
        <f t="shared" si="2"/>
        <v>8</v>
      </c>
      <c r="L10" s="37">
        <f>1/(6*4*2*2)</f>
        <v>0.010416666666666666</v>
      </c>
    </row>
    <row r="11" spans="1:12" ht="15">
      <c r="A11" s="45">
        <f>A30/200</f>
        <v>0.05</v>
      </c>
      <c r="C11" s="49">
        <f t="shared" si="1"/>
        <v>4</v>
      </c>
      <c r="D11" s="49">
        <f t="shared" si="0"/>
        <v>0.10798197863062348</v>
      </c>
      <c r="E11" s="18"/>
      <c r="F11" s="18"/>
      <c r="G11" s="18"/>
      <c r="K11" s="37">
        <f t="shared" si="2"/>
        <v>9</v>
      </c>
      <c r="L11" s="37">
        <f>1/(7*5*3*SQRT(2*3.14159))</f>
        <v>0.003799451894167654</v>
      </c>
    </row>
    <row r="12" spans="3:12" ht="15">
      <c r="C12" s="49">
        <f t="shared" si="1"/>
        <v>4.5</v>
      </c>
      <c r="D12" s="49">
        <f t="shared" si="0"/>
        <v>0.08919775458879005</v>
      </c>
      <c r="E12" s="18"/>
      <c r="F12" s="18"/>
      <c r="G12" s="18"/>
      <c r="K12" s="37">
        <f t="shared" si="2"/>
        <v>10</v>
      </c>
      <c r="L12" s="37">
        <f>1/(8*6*4*2*2)</f>
        <v>0.0013020833333333333</v>
      </c>
    </row>
    <row r="13" spans="3:12" ht="15">
      <c r="C13" s="49">
        <f t="shared" si="1"/>
        <v>5</v>
      </c>
      <c r="D13" s="49">
        <f t="shared" si="0"/>
        <v>0.07322494373487098</v>
      </c>
      <c r="E13" s="18"/>
      <c r="F13" s="18"/>
      <c r="G13" s="18"/>
      <c r="K13" s="37">
        <f t="shared" si="2"/>
        <v>11</v>
      </c>
      <c r="L13" s="37">
        <f>1/(9*7*5*3*SQRT(2*3.14159))</f>
        <v>0.0004221613215741838</v>
      </c>
    </row>
    <row r="14" spans="1:12" ht="15">
      <c r="A14" s="17" t="s">
        <v>22</v>
      </c>
      <c r="C14" s="49">
        <f t="shared" si="1"/>
        <v>5.5</v>
      </c>
      <c r="D14" s="49">
        <f t="shared" si="0"/>
        <v>0.05981109711519885</v>
      </c>
      <c r="E14" s="18"/>
      <c r="F14" s="18"/>
      <c r="G14" s="18"/>
      <c r="K14" s="37">
        <f t="shared" si="2"/>
        <v>12</v>
      </c>
      <c r="L14" s="37">
        <f>1/(10*8*6*4*2*2)</f>
        <v>0.00013020833333333333</v>
      </c>
    </row>
    <row r="15" spans="1:12" ht="15">
      <c r="A15" s="17" t="s">
        <v>23</v>
      </c>
      <c r="C15" s="49">
        <f t="shared" si="1"/>
        <v>6</v>
      </c>
      <c r="D15" s="49">
        <f t="shared" si="0"/>
        <v>0.04865219387702087</v>
      </c>
      <c r="E15" s="18"/>
      <c r="F15" s="18"/>
      <c r="G15" s="18"/>
      <c r="K15" s="37">
        <f t="shared" si="2"/>
        <v>13</v>
      </c>
      <c r="L15" s="37">
        <f>1/(11*9*7*5*3*SQRT(2*3.14159))</f>
        <v>3.837830196128943E-05</v>
      </c>
    </row>
    <row r="16" spans="1:12" ht="15">
      <c r="A16" s="40">
        <f>CHIINV(A11,A6)</f>
        <v>7.814727903251179</v>
      </c>
      <c r="C16" s="49">
        <f t="shared" si="1"/>
        <v>6.5</v>
      </c>
      <c r="D16" s="49">
        <f t="shared" si="0"/>
        <v>0.03943754402248648</v>
      </c>
      <c r="E16" s="18"/>
      <c r="F16" s="18"/>
      <c r="G16" s="18"/>
      <c r="K16" s="37">
        <f t="shared" si="2"/>
        <v>14</v>
      </c>
      <c r="L16" s="37">
        <f>1/(12*10*8*6*4*2*2)</f>
        <v>1.0850694444444445E-05</v>
      </c>
    </row>
    <row r="17" spans="3:12" ht="15">
      <c r="C17" s="49">
        <f t="shared" si="1"/>
        <v>7</v>
      </c>
      <c r="D17" s="49">
        <f t="shared" si="0"/>
        <v>0.03187341391264456</v>
      </c>
      <c r="E17" s="18"/>
      <c r="F17" s="18"/>
      <c r="G17" s="18"/>
      <c r="K17" s="37">
        <f t="shared" si="2"/>
        <v>15</v>
      </c>
      <c r="L17" s="37">
        <f>1/(13*11*9*7*5*3*SQRT(2*3.14159))</f>
        <v>2.9521770739453413E-06</v>
      </c>
    </row>
    <row r="18" spans="3:12" ht="15">
      <c r="C18" s="49">
        <f t="shared" si="1"/>
        <v>7.5</v>
      </c>
      <c r="D18" s="49">
        <f t="shared" si="0"/>
        <v>0.025694287177566374</v>
      </c>
      <c r="E18" s="18"/>
      <c r="F18" s="18"/>
      <c r="G18" s="18"/>
      <c r="K18" s="37">
        <f t="shared" si="2"/>
        <v>16</v>
      </c>
      <c r="L18" s="37">
        <f>1/(14*12*10*8*6*4*2*2)</f>
        <v>7.750496031746032E-07</v>
      </c>
    </row>
    <row r="19" spans="3:12" ht="15">
      <c r="C19" s="49">
        <f t="shared" si="1"/>
        <v>8</v>
      </c>
      <c r="D19" s="49">
        <f t="shared" si="0"/>
        <v>0.02066699408242545</v>
      </c>
      <c r="E19" s="18"/>
      <c r="F19" s="18"/>
      <c r="G19" s="18"/>
      <c r="K19" s="37">
        <f t="shared" si="2"/>
        <v>17</v>
      </c>
      <c r="L19" s="37">
        <f>1/(15*13*11*9*7*5*3*SQRT(2*3.14159))</f>
        <v>1.9681180492968942E-07</v>
      </c>
    </row>
    <row r="20" spans="3:12" ht="15">
      <c r="C20" s="49">
        <f t="shared" si="1"/>
        <v>8.5</v>
      </c>
      <c r="D20" s="49">
        <f t="shared" si="0"/>
        <v>0.01659083193728123</v>
      </c>
      <c r="E20" s="18"/>
      <c r="F20" s="50">
        <f>A11</f>
        <v>0.05</v>
      </c>
      <c r="G20" s="18" t="s">
        <v>27</v>
      </c>
      <c r="K20" s="37">
        <f t="shared" si="2"/>
        <v>18</v>
      </c>
      <c r="L20" s="37">
        <f>1/(16*14*12*10*8*6*4*2*2)</f>
        <v>4.84406001984127E-08</v>
      </c>
    </row>
    <row r="21" spans="3:12" ht="15">
      <c r="C21" s="49">
        <f t="shared" si="1"/>
        <v>9</v>
      </c>
      <c r="D21" s="49">
        <f t="shared" si="0"/>
        <v>0.013295550850950895</v>
      </c>
      <c r="E21" s="18"/>
      <c r="F21" s="18"/>
      <c r="G21" s="18"/>
      <c r="K21" s="37">
        <f t="shared" si="2"/>
        <v>19</v>
      </c>
      <c r="L21" s="37">
        <f>1/(17*15*13*11*9*7*5*3*SQRT(2*3.14159))</f>
        <v>1.1577164995864083E-08</v>
      </c>
    </row>
    <row r="22" spans="3:12" ht="15">
      <c r="C22" s="49">
        <f t="shared" si="1"/>
        <v>9.5</v>
      </c>
      <c r="D22" s="49">
        <f t="shared" si="0"/>
        <v>0.010638325220255256</v>
      </c>
      <c r="E22" s="18"/>
      <c r="F22" s="18"/>
      <c r="G22" s="18"/>
      <c r="K22" s="37">
        <f t="shared" si="2"/>
        <v>20</v>
      </c>
      <c r="L22" s="37">
        <f>1/(18*16*14*12*10*8*6*4*2*2)</f>
        <v>2.6911444554673723E-09</v>
      </c>
    </row>
    <row r="23" spans="3:12" ht="15">
      <c r="C23" s="49">
        <f t="shared" si="1"/>
        <v>10</v>
      </c>
      <c r="D23" s="49">
        <f t="shared" si="0"/>
        <v>0.008500370192498873</v>
      </c>
      <c r="E23" s="18"/>
      <c r="F23" s="18"/>
      <c r="G23" s="18"/>
      <c r="K23" s="18"/>
      <c r="L23" s="18"/>
    </row>
    <row r="24" spans="3:4" ht="15">
      <c r="C24" s="49">
        <f t="shared" si="1"/>
        <v>10.5</v>
      </c>
      <c r="D24" s="49">
        <f t="shared" si="0"/>
        <v>0.006783578714481846</v>
      </c>
    </row>
    <row r="25" spans="3:4" ht="15">
      <c r="C25" s="49">
        <f t="shared" si="1"/>
        <v>11</v>
      </c>
      <c r="D25" s="49">
        <f t="shared" si="0"/>
        <v>0.005407380634343833</v>
      </c>
    </row>
    <row r="26" spans="3:7" ht="15">
      <c r="C26" s="49">
        <f t="shared" si="1"/>
        <v>11.5</v>
      </c>
      <c r="D26" s="49">
        <f t="shared" si="0"/>
        <v>0.004305919421938676</v>
      </c>
      <c r="F26" s="36" t="s">
        <v>17</v>
      </c>
      <c r="G26" s="36" t="s">
        <v>24</v>
      </c>
    </row>
    <row r="27" spans="3:7" ht="15">
      <c r="C27" s="49">
        <f t="shared" si="1"/>
        <v>12</v>
      </c>
      <c r="D27" s="49">
        <f t="shared" si="0"/>
        <v>0.0034255789468419424</v>
      </c>
      <c r="F27" s="41">
        <f>A16</f>
        <v>7.814727903251179</v>
      </c>
      <c r="G27" s="37">
        <v>0</v>
      </c>
    </row>
    <row r="28" spans="3:7" ht="15">
      <c r="C28" s="49">
        <f t="shared" si="1"/>
        <v>12.5</v>
      </c>
      <c r="D28" s="49">
        <f t="shared" si="0"/>
        <v>0.0027228564378903516</v>
      </c>
      <c r="F28" s="41">
        <f>A16</f>
        <v>7.814727903251179</v>
      </c>
      <c r="G28" s="37">
        <f>VLOOKUP($A$6,$K$3:$L$22,2)*F28^($A$6/2-1)*EXP(-0.5*F28)</f>
        <v>0.02240890197463123</v>
      </c>
    </row>
    <row r="29" spans="3:4" ht="15">
      <c r="C29" s="49">
        <f t="shared" si="1"/>
        <v>13</v>
      </c>
      <c r="D29" s="49">
        <f t="shared" si="0"/>
        <v>0.0021625581439547203</v>
      </c>
    </row>
    <row r="30" spans="1:4" ht="15">
      <c r="A30" s="17">
        <v>10</v>
      </c>
      <c r="C30" s="49">
        <f t="shared" si="1"/>
        <v>13.5</v>
      </c>
      <c r="D30" s="49">
        <f t="shared" si="0"/>
        <v>0.0017162848964055889</v>
      </c>
    </row>
    <row r="31" spans="3:4" ht="15">
      <c r="C31" s="49">
        <f t="shared" si="1"/>
        <v>14</v>
      </c>
      <c r="D31" s="49">
        <f t="shared" si="0"/>
        <v>0.0013611716455091743</v>
      </c>
    </row>
    <row r="32" spans="3:4" ht="15">
      <c r="C32" s="49">
        <f t="shared" si="1"/>
        <v>14.5</v>
      </c>
      <c r="D32" s="49">
        <f t="shared" si="0"/>
        <v>0.0010788455053256196</v>
      </c>
    </row>
    <row r="33" spans="3:4" ht="15">
      <c r="C33" s="49">
        <f t="shared" si="1"/>
        <v>15</v>
      </c>
      <c r="D33" s="49">
        <f t="shared" si="0"/>
        <v>0.000854569255833373</v>
      </c>
    </row>
    <row r="34" spans="3:4" ht="15">
      <c r="C34" s="49">
        <f t="shared" si="1"/>
        <v>15.5</v>
      </c>
      <c r="D34" s="49">
        <f t="shared" si="0"/>
        <v>0.0006765405989596964</v>
      </c>
    </row>
    <row r="35" spans="3:4" ht="15">
      <c r="C35" s="49">
        <f aca="true" t="shared" si="3" ref="C35:C83">C34+0.5</f>
        <v>16</v>
      </c>
      <c r="D35" s="49">
        <f t="shared" si="0"/>
        <v>0.0005353211291427962</v>
      </c>
    </row>
    <row r="36" spans="3:4" ht="15">
      <c r="C36" s="49">
        <f t="shared" si="3"/>
        <v>16.5</v>
      </c>
      <c r="D36" s="49">
        <f t="shared" si="0"/>
        <v>0.00042337259794939647</v>
      </c>
    </row>
    <row r="37" spans="3:4" ht="15">
      <c r="C37" s="49">
        <f t="shared" si="3"/>
        <v>17</v>
      </c>
      <c r="D37" s="49">
        <f t="shared" si="0"/>
        <v>0.0003346814283143478</v>
      </c>
    </row>
    <row r="38" spans="3:4" ht="15">
      <c r="C38" s="49">
        <f t="shared" si="3"/>
        <v>17.5</v>
      </c>
      <c r="D38" s="49">
        <f t="shared" si="0"/>
        <v>0.0002644554715388598</v>
      </c>
    </row>
    <row r="39" spans="3:4" ht="15">
      <c r="C39" s="49">
        <f t="shared" si="3"/>
        <v>18</v>
      </c>
      <c r="D39" s="49">
        <f t="shared" si="0"/>
        <v>0.0002088796661366935</v>
      </c>
    </row>
    <row r="40" spans="3:4" ht="15">
      <c r="C40" s="49">
        <f t="shared" si="3"/>
        <v>18.5</v>
      </c>
      <c r="D40" s="49">
        <f t="shared" si="0"/>
        <v>0.00016491955558987535</v>
      </c>
    </row>
    <row r="41" spans="3:4" ht="15">
      <c r="C41" s="49">
        <f t="shared" si="3"/>
        <v>19</v>
      </c>
      <c r="D41" s="49">
        <f t="shared" si="0"/>
        <v>0.00013016357603426516</v>
      </c>
    </row>
    <row r="42" spans="3:4" ht="15">
      <c r="C42" s="49">
        <f t="shared" si="3"/>
        <v>19.5</v>
      </c>
      <c r="D42" s="49">
        <f t="shared" si="0"/>
        <v>0.00010269666876817657</v>
      </c>
    </row>
    <row r="43" spans="3:4" ht="15">
      <c r="C43" s="49">
        <f t="shared" si="3"/>
        <v>20</v>
      </c>
      <c r="D43" s="49">
        <f t="shared" si="0"/>
        <v>8.099914376942334E-05</v>
      </c>
    </row>
    <row r="44" spans="3:4" ht="15">
      <c r="C44" s="49">
        <f t="shared" si="3"/>
        <v>20.5</v>
      </c>
      <c r="D44" s="49">
        <f t="shared" si="0"/>
        <v>6.38658564142626E-05</v>
      </c>
    </row>
    <row r="45" spans="3:4" ht="15">
      <c r="C45" s="49">
        <f t="shared" si="3"/>
        <v>21</v>
      </c>
      <c r="D45" s="49">
        <f t="shared" si="0"/>
        <v>5.034169529078178E-05</v>
      </c>
    </row>
    <row r="46" spans="3:4" ht="15">
      <c r="C46" s="49">
        <f t="shared" si="3"/>
        <v>21.5</v>
      </c>
      <c r="D46" s="49">
        <f t="shared" si="0"/>
        <v>3.967014599111627E-05</v>
      </c>
    </row>
    <row r="47" spans="3:4" ht="15">
      <c r="C47" s="49">
        <f t="shared" si="3"/>
        <v>22</v>
      </c>
      <c r="D47" s="49">
        <f t="shared" si="0"/>
        <v>3.125232188589356E-05</v>
      </c>
    </row>
    <row r="48" spans="3:4" ht="15">
      <c r="C48" s="49">
        <f t="shared" si="3"/>
        <v>22.5</v>
      </c>
      <c r="D48" s="49">
        <f t="shared" si="0"/>
        <v>2.4614362196364262E-05</v>
      </c>
    </row>
    <row r="49" spans="3:4" ht="15">
      <c r="C49" s="49">
        <f t="shared" si="3"/>
        <v>23</v>
      </c>
      <c r="D49" s="49">
        <f t="shared" si="0"/>
        <v>1.9381510702623074E-05</v>
      </c>
    </row>
    <row r="50" spans="3:4" ht="15">
      <c r="C50" s="49">
        <f t="shared" si="3"/>
        <v>23.5</v>
      </c>
      <c r="D50" s="49">
        <f t="shared" si="0"/>
        <v>1.5257522462569667E-05</v>
      </c>
    </row>
    <row r="51" spans="3:4" ht="15">
      <c r="C51" s="49">
        <f t="shared" si="3"/>
        <v>24</v>
      </c>
      <c r="D51" s="49">
        <f t="shared" si="0"/>
        <v>1.2008315429500591E-05</v>
      </c>
    </row>
    <row r="52" spans="3:4" ht="15">
      <c r="C52" s="49">
        <f t="shared" si="3"/>
        <v>24.5</v>
      </c>
      <c r="D52" s="49">
        <f t="shared" si="0"/>
        <v>9.449000851039002E-06</v>
      </c>
    </row>
    <row r="53" spans="3:4" ht="15">
      <c r="C53" s="49">
        <f t="shared" si="3"/>
        <v>25</v>
      </c>
      <c r="D53" s="49">
        <f t="shared" si="0"/>
        <v>7.433600713119107E-06</v>
      </c>
    </row>
    <row r="54" spans="3:4" ht="15">
      <c r="C54" s="49">
        <f t="shared" si="3"/>
        <v>25.5</v>
      </c>
      <c r="D54" s="49">
        <f t="shared" si="0"/>
        <v>5.846900391241689E-06</v>
      </c>
    </row>
    <row r="55" spans="3:4" ht="15">
      <c r="C55" s="49">
        <f t="shared" si="3"/>
        <v>26</v>
      </c>
      <c r="D55" s="49">
        <f t="shared" si="0"/>
        <v>4.597996734324369E-06</v>
      </c>
    </row>
    <row r="56" spans="3:4" ht="15">
      <c r="C56" s="49">
        <f t="shared" si="3"/>
        <v>26.5</v>
      </c>
      <c r="D56" s="49">
        <f t="shared" si="0"/>
        <v>3.615191448156427E-06</v>
      </c>
    </row>
    <row r="57" spans="3:4" ht="15">
      <c r="C57" s="49">
        <f t="shared" si="3"/>
        <v>27</v>
      </c>
      <c r="D57" s="49">
        <f t="shared" si="0"/>
        <v>2.8419512613086327E-06</v>
      </c>
    </row>
    <row r="58" spans="3:4" ht="15">
      <c r="C58" s="49">
        <f t="shared" si="3"/>
        <v>27.5</v>
      </c>
      <c r="D58" s="49">
        <f t="shared" si="0"/>
        <v>2.233713505148728E-06</v>
      </c>
    </row>
    <row r="59" spans="3:4" ht="15">
      <c r="C59" s="49">
        <f t="shared" si="3"/>
        <v>28</v>
      </c>
      <c r="D59" s="49">
        <f t="shared" si="0"/>
        <v>1.7553612956181266E-06</v>
      </c>
    </row>
    <row r="60" spans="3:4" ht="15">
      <c r="C60" s="49">
        <f t="shared" si="3"/>
        <v>28.5</v>
      </c>
      <c r="D60" s="49">
        <f t="shared" si="0"/>
        <v>1.379228783930893E-06</v>
      </c>
    </row>
    <row r="61" spans="3:4" ht="15">
      <c r="C61" s="49">
        <f t="shared" si="3"/>
        <v>29</v>
      </c>
      <c r="D61" s="49">
        <f t="shared" si="0"/>
        <v>1.0835258093756333E-06</v>
      </c>
    </row>
    <row r="62" spans="3:4" ht="15">
      <c r="C62" s="49">
        <f t="shared" si="3"/>
        <v>29.5</v>
      </c>
      <c r="D62" s="49">
        <f t="shared" si="0"/>
        <v>8.510942357437582E-07</v>
      </c>
    </row>
    <row r="63" spans="3:4" ht="15">
      <c r="C63" s="49">
        <f t="shared" si="3"/>
        <v>30</v>
      </c>
      <c r="D63" s="49">
        <f t="shared" si="0"/>
        <v>6.684264826553977E-07</v>
      </c>
    </row>
    <row r="64" spans="3:4" ht="15">
      <c r="C64" s="49">
        <f t="shared" si="3"/>
        <v>30.5</v>
      </c>
      <c r="D64" s="49">
        <f t="shared" si="0"/>
        <v>5.248912340449315E-07</v>
      </c>
    </row>
    <row r="65" spans="3:4" ht="15">
      <c r="C65" s="49">
        <f t="shared" si="3"/>
        <v>31</v>
      </c>
      <c r="D65" s="49">
        <f t="shared" si="0"/>
        <v>4.1212278562721986E-07</v>
      </c>
    </row>
    <row r="66" spans="3:4" ht="15">
      <c r="C66" s="49">
        <f t="shared" si="3"/>
        <v>31.5</v>
      </c>
      <c r="D66" s="49">
        <f t="shared" si="0"/>
        <v>3.235395939860571E-07</v>
      </c>
    </row>
    <row r="67" spans="3:4" ht="15">
      <c r="C67" s="49">
        <f t="shared" si="3"/>
        <v>32</v>
      </c>
      <c r="D67" s="49">
        <f aca="true" t="shared" si="4" ref="D67:D83">VLOOKUP($A$6,$K$3:$L$22,2)*C67^($A$6/2-1)*EXP(-0.5*C67)</f>
        <v>2.539648006947989E-07</v>
      </c>
    </row>
    <row r="68" spans="3:4" ht="15">
      <c r="C68" s="49">
        <f t="shared" si="3"/>
        <v>32.5</v>
      </c>
      <c r="D68" s="49">
        <f t="shared" si="4"/>
        <v>1.9932721498209564E-07</v>
      </c>
    </row>
    <row r="69" spans="3:4" ht="15">
      <c r="C69" s="49">
        <f t="shared" si="3"/>
        <v>33</v>
      </c>
      <c r="D69" s="49">
        <f t="shared" si="4"/>
        <v>1.5642575786886336E-07</v>
      </c>
    </row>
    <row r="70" spans="3:4" ht="15">
      <c r="C70" s="49">
        <f t="shared" si="3"/>
        <v>33.5</v>
      </c>
      <c r="D70" s="49">
        <f t="shared" si="4"/>
        <v>1.2274394597380518E-07</v>
      </c>
    </row>
    <row r="71" spans="3:4" ht="15">
      <c r="C71" s="49">
        <f t="shared" si="3"/>
        <v>34</v>
      </c>
      <c r="D71" s="49">
        <f t="shared" si="4"/>
        <v>9.630382025612046E-08</v>
      </c>
    </row>
    <row r="72" spans="3:4" ht="15">
      <c r="C72" s="49">
        <f t="shared" si="3"/>
        <v>34.5</v>
      </c>
      <c r="D72" s="49">
        <f t="shared" si="4"/>
        <v>7.555095944377956E-08</v>
      </c>
    </row>
    <row r="73" spans="3:4" ht="15">
      <c r="C73" s="49">
        <f t="shared" si="3"/>
        <v>35</v>
      </c>
      <c r="D73" s="49">
        <f t="shared" si="4"/>
        <v>5.926398327539589E-08</v>
      </c>
    </row>
    <row r="74" spans="3:4" ht="15">
      <c r="C74" s="49">
        <f t="shared" si="3"/>
        <v>35.5</v>
      </c>
      <c r="D74" s="49">
        <f t="shared" si="4"/>
        <v>4.648334490346159E-08</v>
      </c>
    </row>
    <row r="75" spans="3:4" ht="15">
      <c r="C75" s="49">
        <f t="shared" si="3"/>
        <v>36</v>
      </c>
      <c r="D75" s="49">
        <f t="shared" si="4"/>
        <v>3.645531249518555E-08</v>
      </c>
    </row>
    <row r="76" spans="3:4" ht="15">
      <c r="C76" s="49">
        <f t="shared" si="3"/>
        <v>36.5</v>
      </c>
      <c r="D76" s="49">
        <f t="shared" si="4"/>
        <v>2.858790871895733E-08</v>
      </c>
    </row>
    <row r="77" spans="3:4" ht="15">
      <c r="C77" s="49">
        <f t="shared" si="3"/>
        <v>37</v>
      </c>
      <c r="D77" s="49">
        <f t="shared" si="4"/>
        <v>2.2416262107366556E-08</v>
      </c>
    </row>
    <row r="78" spans="3:4" ht="15">
      <c r="C78" s="49">
        <f t="shared" si="3"/>
        <v>37.5</v>
      </c>
      <c r="D78" s="49">
        <f t="shared" si="4"/>
        <v>1.7575364770543073E-08</v>
      </c>
    </row>
    <row r="79" spans="3:4" ht="15">
      <c r="C79" s="49">
        <f t="shared" si="3"/>
        <v>38</v>
      </c>
      <c r="D79" s="49">
        <f t="shared" si="4"/>
        <v>1.3778657071485814E-08</v>
      </c>
    </row>
    <row r="80" spans="3:4" ht="15">
      <c r="C80" s="49">
        <f t="shared" si="3"/>
        <v>38.5</v>
      </c>
      <c r="D80" s="49">
        <f t="shared" si="4"/>
        <v>1.0801195762169626E-08</v>
      </c>
    </row>
    <row r="81" spans="3:4" ht="15">
      <c r="C81" s="49">
        <f t="shared" si="3"/>
        <v>39</v>
      </c>
      <c r="D81" s="49">
        <f t="shared" si="4"/>
        <v>8.466426756755821E-09</v>
      </c>
    </row>
    <row r="82" spans="3:4" ht="15">
      <c r="C82" s="49">
        <f t="shared" si="3"/>
        <v>39.5</v>
      </c>
      <c r="D82" s="49">
        <f t="shared" si="4"/>
        <v>6.635792228096539E-09</v>
      </c>
    </row>
    <row r="83" spans="3:4" ht="15">
      <c r="C83" s="49">
        <f t="shared" si="3"/>
        <v>40</v>
      </c>
      <c r="D83" s="49">
        <f t="shared" si="4"/>
        <v>5.200565934019914E-09</v>
      </c>
    </row>
    <row r="84" spans="3:4" ht="15">
      <c r="C84" s="18"/>
      <c r="D84" s="18"/>
    </row>
    <row r="85" spans="3:4" ht="15">
      <c r="C85" s="18"/>
      <c r="D85" s="18"/>
    </row>
    <row r="86" spans="3:4" ht="15">
      <c r="C86" s="18"/>
      <c r="D86" s="18"/>
    </row>
    <row r="87" spans="3:4" ht="15">
      <c r="C87" s="18"/>
      <c r="D87" s="18"/>
    </row>
    <row r="88" spans="3:4" ht="15">
      <c r="C88" s="18"/>
      <c r="D88" s="18"/>
    </row>
    <row r="89" spans="3:4" ht="15">
      <c r="C89" s="18"/>
      <c r="D89" s="18"/>
    </row>
    <row r="90" spans="3:4" ht="15">
      <c r="C90" s="18"/>
      <c r="D90" s="18"/>
    </row>
    <row r="91" spans="3:4" ht="15">
      <c r="C91" s="18"/>
      <c r="D91" s="18"/>
    </row>
    <row r="92" spans="3:4" ht="15">
      <c r="C92" s="18"/>
      <c r="D92" s="18"/>
    </row>
    <row r="93" spans="3:4" ht="15">
      <c r="C93" s="18"/>
      <c r="D93" s="18"/>
    </row>
    <row r="94" spans="3:4" ht="15">
      <c r="C94" s="18"/>
      <c r="D94" s="18"/>
    </row>
    <row r="95" spans="3:4" ht="15">
      <c r="C95" s="18"/>
      <c r="D95" s="18"/>
    </row>
    <row r="96" spans="3:4" ht="15">
      <c r="C96" s="18"/>
      <c r="D96" s="18"/>
    </row>
    <row r="97" spans="3:4" ht="15">
      <c r="C97" s="18"/>
      <c r="D97" s="18"/>
    </row>
    <row r="98" spans="3:4" ht="15">
      <c r="C98" s="18"/>
      <c r="D98" s="18"/>
    </row>
    <row r="99" spans="3:4" ht="15">
      <c r="C99" s="18"/>
      <c r="D99" s="18"/>
    </row>
    <row r="100" spans="3:4" ht="15">
      <c r="C100" s="18"/>
      <c r="D100" s="18"/>
    </row>
    <row r="101" spans="3:4" ht="15">
      <c r="C101" s="18"/>
      <c r="D101" s="18"/>
    </row>
    <row r="102" spans="3:4" ht="15">
      <c r="C102" s="18"/>
      <c r="D102" s="18"/>
    </row>
    <row r="103" spans="3:4" ht="15">
      <c r="C103" s="18"/>
      <c r="D103" s="18"/>
    </row>
    <row r="104" spans="3:4" ht="15">
      <c r="C104" s="18"/>
      <c r="D104" s="18"/>
    </row>
    <row r="105" spans="3:4" ht="15">
      <c r="C105" s="18"/>
      <c r="D105" s="18"/>
    </row>
    <row r="106" spans="3:4" ht="15">
      <c r="C106" s="18"/>
      <c r="D106" s="18"/>
    </row>
    <row r="107" spans="3:4" ht="15">
      <c r="C107" s="18"/>
      <c r="D107" s="18"/>
    </row>
    <row r="108" spans="3:4" ht="15">
      <c r="C108" s="18"/>
      <c r="D108" s="18"/>
    </row>
    <row r="109" spans="3:4" ht="15">
      <c r="C109" s="18"/>
      <c r="D109" s="18"/>
    </row>
    <row r="110" spans="3:4" ht="15">
      <c r="C110" s="18"/>
      <c r="D110" s="18"/>
    </row>
    <row r="111" spans="3:4" ht="15">
      <c r="C111" s="18"/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1"/>
  <sheetViews>
    <sheetView showGridLines="0" zoomScalePageLayoutView="0" workbookViewId="0" topLeftCell="A1">
      <selection activeCell="B12" sqref="B12"/>
    </sheetView>
  </sheetViews>
  <sheetFormatPr defaultColWidth="9.140625" defaultRowHeight="19.5" customHeight="1"/>
  <cols>
    <col min="1" max="1" width="7.57421875" style="11" customWidth="1"/>
    <col min="2" max="2" width="12.7109375" style="11" customWidth="1"/>
    <col min="3" max="16384" width="9.140625" style="11" customWidth="1"/>
  </cols>
  <sheetData>
    <row r="1" ht="24.75" customHeight="1">
      <c r="A1" s="57" t="s">
        <v>36</v>
      </c>
    </row>
    <row r="2" ht="24.75" customHeight="1">
      <c r="A2" s="63" t="s">
        <v>40</v>
      </c>
    </row>
    <row r="3" ht="24.75" customHeight="1">
      <c r="A3" s="63" t="s">
        <v>39</v>
      </c>
    </row>
    <row r="4" ht="24.75" customHeight="1">
      <c r="A4" s="63" t="s">
        <v>43</v>
      </c>
    </row>
    <row r="5" ht="24.75" customHeight="1">
      <c r="A5" s="63" t="s">
        <v>41</v>
      </c>
    </row>
    <row r="6" ht="24.75" customHeight="1">
      <c r="A6" s="63" t="s">
        <v>42</v>
      </c>
    </row>
    <row r="7" spans="2:12" ht="19.5" customHeight="1">
      <c r="B7" s="59" t="s">
        <v>29</v>
      </c>
      <c r="C7" s="60" t="s">
        <v>30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19.5" customHeight="1">
      <c r="B8" s="59" t="s">
        <v>3</v>
      </c>
      <c r="C8" s="60" t="s">
        <v>31</v>
      </c>
      <c r="D8" s="61"/>
      <c r="E8" s="61"/>
      <c r="F8" s="61"/>
      <c r="G8" s="61"/>
      <c r="H8" s="61"/>
      <c r="I8" s="61"/>
      <c r="J8" s="61"/>
      <c r="K8" s="61"/>
      <c r="L8" s="62"/>
    </row>
    <row r="9" spans="2:12" ht="19.5" customHeight="1">
      <c r="B9" s="59" t="s">
        <v>32</v>
      </c>
      <c r="C9" s="60" t="s">
        <v>33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19.5" customHeight="1">
      <c r="B10" s="59" t="s">
        <v>34</v>
      </c>
      <c r="C10" s="60" t="s">
        <v>37</v>
      </c>
      <c r="D10" s="61"/>
      <c r="E10" s="61"/>
      <c r="F10" s="61"/>
      <c r="G10" s="61"/>
      <c r="H10" s="61"/>
      <c r="I10" s="61"/>
      <c r="J10" s="61"/>
      <c r="K10" s="61"/>
      <c r="L10" s="62"/>
    </row>
    <row r="11" spans="2:12" ht="19.5" customHeight="1">
      <c r="B11" s="59" t="s">
        <v>35</v>
      </c>
      <c r="C11" s="60" t="s">
        <v>38</v>
      </c>
      <c r="D11" s="61"/>
      <c r="E11" s="61"/>
      <c r="F11" s="61"/>
      <c r="G11" s="61"/>
      <c r="H11" s="61"/>
      <c r="I11" s="61"/>
      <c r="J11" s="61"/>
      <c r="K11" s="61"/>
      <c r="L11" s="6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bfrancis</dc:creator>
  <cp:keywords/>
  <dc:description/>
  <cp:lastModifiedBy>Claire Brown</cp:lastModifiedBy>
  <dcterms:created xsi:type="dcterms:W3CDTF">2004-02-25T19:36:32Z</dcterms:created>
  <dcterms:modified xsi:type="dcterms:W3CDTF">2021-04-27T09:25:58Z</dcterms:modified>
  <cp:category/>
  <cp:version/>
  <cp:contentType/>
  <cp:contentStatus/>
</cp:coreProperties>
</file>